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0"/>
  </bookViews>
  <sheets>
    <sheet sheetId="1" name="Skaičiuoklė" state="visible" r:id="rId4"/>
    <sheet sheetId="2" name="Metodika" state="visible" r:id="rId5"/>
  </sheets>
  <calcPr calcId="171027" fullCalcOnLoad="1"/>
</workbook>
</file>

<file path=xl/sharedStrings.xml><?xml version="1.0" encoding="utf-8"?>
<sst xmlns="http://schemas.openxmlformats.org/spreadsheetml/2006/main" count="185" uniqueCount="144">
  <si>
    <t>Chloro poreikis pagal lankytojų apkrovą</t>
  </si>
  <si>
    <t>Planavimo skaičiuoklė: kiek aktyvaus chloro ir produkto prireiks per dieną, savaitę ir mėnesį. Sąnaudų vienam lankytojui šaltinio nėra, todėl jas įvedate patys arba išvedate iš savo sunaudojimo. Skaičiuoklė orientacinė: rezultatas yra atskaitos taškas, ne galutinis dydis. Tekstas nėra teisinė ar cheminė konsultacija.</t>
  </si>
  <si>
    <t>Šviesiai mėlyni langeliai – jūsų įvestis (įrašytos pavyzdinės reikšmės, pakeiskite jas savo duomenimis). Kiti langeliai skaičiuojami automatiškai formulėmis.</t>
  </si>
  <si>
    <t>Apkrova</t>
  </si>
  <si>
    <t>Lankytojų per dieną</t>
  </si>
  <si>
    <t/>
  </si>
  <si>
    <t>Chloro sąnaudos vienam lankytojui</t>
  </si>
  <si>
    <t>g aktyvaus chloro</t>
  </si>
  <si>
    <t>Vienos standartinės vertės nėra: pasirinkite literatūros orientyrą (2,8 / 4,1 / 10 g, žr. lapą „Metodika“), įveskite savo įvertį arba išveskite iš kalibravimo. Orientyrai – ne norma</t>
  </si>
  <si>
    <t>Vanduo ir produktas</t>
  </si>
  <si>
    <t>Šviežio vandens papildymas</t>
  </si>
  <si>
    <t>m³ per dieną</t>
  </si>
  <si>
    <t>Palaikomas aktyvaus chloro rodmuo</t>
  </si>
  <si>
    <t>mg/l</t>
  </si>
  <si>
    <t>Su papildymu išeinančiam chlorui</t>
  </si>
  <si>
    <t>Produkto koncentracija</t>
  </si>
  <si>
    <t>% aktyvaus chloro</t>
  </si>
  <si>
    <t>Pradinė reikšmė tipinė; imkite iš etiketės</t>
  </si>
  <si>
    <t>Atviras baseinas (nebūtina)</t>
  </si>
  <si>
    <t>Vandens paviršiaus plotas</t>
  </si>
  <si>
    <t>m²</t>
  </si>
  <si>
    <t>Uždaram baseinui palikite tuščius</t>
  </si>
  <si>
    <t>Valandos su saule per dieną</t>
  </si>
  <si>
    <t>h</t>
  </si>
  <si>
    <t>Saulės nuostolis k_UV</t>
  </si>
  <si>
    <t>g aktyvaus chloro / (m²·h)</t>
  </si>
  <si>
    <t>Literatūroje svyruoja ~100 kartų (stabilizatorius, saulė): tik savo matavimas arba kalibravimas. Saulės dalis skaičiuojama tik kai užpildyti visi trys langeliai</t>
  </si>
  <si>
    <t>Kalibravimas pagal savo duomenis (nebūtina)</t>
  </si>
  <si>
    <t>Sunaudota produkto</t>
  </si>
  <si>
    <t>kg</t>
  </si>
  <si>
    <t>Pagal sąskaitas ar sandėlio apskaitą</t>
  </si>
  <si>
    <t>Laikotarpis</t>
  </si>
  <si>
    <t>dienos</t>
  </si>
  <si>
    <t>Lankytojų per laikotarpį</t>
  </si>
  <si>
    <t>Rezultatas</t>
  </si>
  <si>
    <t>Aktyvaus chloro poreikis</t>
  </si>
  <si>
    <t>C_bendras = C_lankytojai + C_saulė + C_papildymas</t>
  </si>
  <si>
    <t>Lankytojų dalis</t>
  </si>
  <si>
    <t>g</t>
  </si>
  <si>
    <t>Saulės dalis</t>
  </si>
  <si>
    <t>Papildymo dalis</t>
  </si>
  <si>
    <t>Produkto per dieną</t>
  </si>
  <si>
    <t>Produkto per 7 dienas</t>
  </si>
  <si>
    <t>Produkto per 30 dienų</t>
  </si>
  <si>
    <t>Kalibravimas</t>
  </si>
  <si>
    <t>Sunaudota aktyvaus chloro</t>
  </si>
  <si>
    <t>Išvesta sąnaudų vienam lankytojui</t>
  </si>
  <si>
    <t>Perkelkite šią reikšmę į langelį „Chloro sąnaudos vienam lankytojui“ rankiniu būdu</t>
  </si>
  <si>
    <t>Pastabos ir įspėjimai</t>
  </si>
  <si>
    <t>Rezultato pastaba</t>
  </si>
  <si>
    <t>Papildymas ir HN 109</t>
  </si>
  <si>
    <t>Kalibravimo pastaba</t>
  </si>
  <si>
    <t>Riba iš HN 109:2016 (taisyklių rinkinys LT-HN109-2016 v3, suvestinė redakcija nuo 2025-04-08)</t>
  </si>
  <si>
    <t>Minimalus papildymas vienam lankytojui per dieną</t>
  </si>
  <si>
    <t>l</t>
  </si>
  <si>
    <t>HN 109:2016, 49 p.</t>
  </si>
  <si>
    <t>Tarpiniai skaičiavimai (formulės, nekeisti)</t>
  </si>
  <si>
    <t>Papildymas (tuščias = 0)</t>
  </si>
  <si>
    <t>m³</t>
  </si>
  <si>
    <t>Rodmuo (tuščias = 0)</t>
  </si>
  <si>
    <t>Saulės dalis skaičiuojama</t>
  </si>
  <si>
    <t>TRUE, kai užpildyti plotas &gt; 0, valandos &gt; 0 ir k_UV ≥ 0</t>
  </si>
  <si>
    <t>Įvestis tinkama</t>
  </si>
  <si>
    <t>Minimalus papildymas</t>
  </si>
  <si>
    <t>Papildymas per mažas</t>
  </si>
  <si>
    <t>Papildymas pakankamas</t>
  </si>
  <si>
    <t>Papildymo dalis kalibravimui</t>
  </si>
  <si>
    <t>g per dieną</t>
  </si>
  <si>
    <t>Kalibravimo įvestis tinkama</t>
  </si>
  <si>
    <t>Metodika: chloro poreikis pagal lankytojų apkrovą</t>
  </si>
  <si>
    <t>Ši skaičiuoklė naudoja tą pačią metodiką ir tas pačias formules kaip https://skerry.eu/skaiciuokles/chloro-poreikis. Rezultatas yra atskaitos taškas pirkimui ir planavimui, ne galutinis dydis. Tekstas nėra teisinė ar cheminė konsultacija.</t>
  </si>
  <si>
    <t>Formulės</t>
  </si>
  <si>
    <t>C_lankytojai = N × q                                [g/d]</t>
  </si>
  <si>
    <t>C_saulė      = S × h × k_UV                         [g/d]   (tik atviram baseinui)</t>
  </si>
  <si>
    <t>C_papildymas = V_pap × c                            [g/d]   (1 m³ × 1 mg/l = 1 g)</t>
  </si>
  <si>
    <t>C_bendras    = C_lankytojai + C_saulė + C_papildymas</t>
  </si>
  <si>
    <t xml:space="preserve"> </t>
  </si>
  <si>
    <t>m_produkto   = C_bendras / (w / 100) / 1000         [kg/d]</t>
  </si>
  <si>
    <t>per 7 d. = 7 × m_produkto;  per 30 d. = 30 × m_produkto</t>
  </si>
  <si>
    <t>N — lankytojai per dieną; q — aktyvaus chloro sąnaudos vienam lankytojui (g); S — vandens paviršiaus plotas (m²); h — valandos su saule per dieną; k_UV — saulės nuostolis (g aktyvaus chloro / m²·h); V_pap — šviežio vandens papildymas (m³/d); c — palaikomas aktyvaus chloro rodmuo (mg/l); w — produkto aktyvaus chloro koncentracija (%).</t>
  </si>
  <si>
    <t>Koeficientai: literatūros orientyrai, ne norma</t>
  </si>
  <si>
    <t>q ir k_UV nėra teisės akto dydžiai. Viešai publikuotos vienos „standartinės“ q vertės nėra: skirtingi metodai duoda skirtingus skaičius, o MAHC Annex pažymi, kad poreikis gali skirtis daugiau nei 10 kartų. Todėl langelis nėra užpildytas iš anksto kaip norma; žemiau pateikti trys literatūros orientyrai, kuriuos galite pasirinkti:</t>
  </si>
  <si>
    <t>•  2,8 g vienam lankytojui: laboratorinis įvertis (Judd &amp; Black 2000, cituota per Berg ir kt. 2019; antrinis šaltinis).</t>
  </si>
  <si>
    <t>•  4,1 g: lauko matavimas lengvai apkrautame baseine (Berg ir kt., J. Water Health 2019; santrauka). Stipriai apkrautame baseine toje pačioje publikacijoje ~11 g.</t>
  </si>
  <si>
    <t>•  10 g: didžiausia išmatuota vertė (Seux 1988, cituota CDC MAHC Annex 2024, 4.0 sk.). Dozavimo įrangai ir atsargai dimensionuoti naudokite šią reikšmę.</t>
  </si>
  <si>
    <t>Šie skaičiai nėra Lietuvos norma ir neprilygsta jūsų objekto matavimui. Vertė virš 10 g arba žemiau 2,8 g — ženklas tikrinti nuotėkį, zondo paklaidą (HN 109, 46–47 p.) ar lankytojų skaičiavimą.</t>
  </si>
  <si>
    <t>Saulės nuostolis (k_UV) viešuose šaltiniuose nepateikiamas g/(m²·h) vienetais ir lauke svyruoja apie šimtą kartų. Be stabilizatoriaus (cianuro rūgšties) laboratorijoje chloras vidurdienio saulėje per ~30 min. sumažėja per pusę; su 25 mg/l stabilizatoriaus po 3 val. lieka apie 70 % (Wahman 2018; antrinis šaltinis); realiame lauko baseine su 138 mg/l stabilizatoriaus fotocheminis nuostolis buvo tik ~1–2 % per parą (Wojtowicz 2004). HN 109 cianuro rūgšties nereguliuoja, o natrio hipochloritas jos neįneša, todėl atviras baseinas su hipochloritu be stabilizatoriaus patenka į didžiausio nuostolio režimą. Dėl to numatytosios reikšmės nėra: įveskite savo matavimą arba naudokite kalibravimą.</t>
  </si>
  <si>
    <t>G_faktinis = m_sunaudota × 1000 × (w / 100)         [g aktyvaus chloro]</t>
  </si>
  <si>
    <t>q_išvestas = (G_faktinis − dienos × C_papildymas) / lankytojų_per_laikotarpį</t>
  </si>
  <si>
    <t>Tai jūsų objekto duomenimis grįstas koeficientas. Saulės dalis neatimama, todėl atviram baseinui jis apima ir ją. Išvestą reikšmę galite įrašyti į langelį „Chloro sąnaudos vienam lankytojui“.</t>
  </si>
  <si>
    <t>Ribos iš HN 109</t>
  </si>
  <si>
    <t>HN 109:2016, 49 p.: papildyto vandens kiekis turi būti ne mažesnis kaip 30 l vienam lankytojui per dieną. Skaičiuoklė lygina įvestą papildymą su šiuo minimumu (N × 30 l). Palaikomo rodmens ribos (aktyvaus chloro liekanos, 5 priedas, 14 eilutė) šioje skaičiuoklėje nepatikrinamos: žr. chemijos dozės skaičiuoklę. Taisyklių rinkinys: LT-HN109-2016, versija 3, suvestinė redakcija nuo 2025-04-08.</t>
  </si>
  <si>
    <t>Ko skaičiuoklė nedaro</t>
  </si>
  <si>
    <t>•  Nemodeliuoja susieto chloro, cianuro rūgšties, pH ir temperatūros poveikio sąnaudoms.</t>
  </si>
  <si>
    <t>•  Nenustato dozavimo režimo ir nepatikrina, ar rodmuo tarp dozių lieka HN 109 intervale.</t>
  </si>
  <si>
    <t>•  Neišskiria sąnaudų dėl gedimo (nuotėkis, užsikišęs filtras, nukrypęs zondas) nuo apkrovos: tai atskiras tyrimas.</t>
  </si>
  <si>
    <t>•  Rezultatas yra atskaitos taškas pirkimui ir planavimui, ne galutinis dydis.</t>
  </si>
  <si>
    <t>Pavyzdys (perskaičiuotas)</t>
  </si>
  <si>
    <t>N = 250, q = 2 g, papildymas 8 m³/d, rodmuo 1,2 mg/l, produktas 14 %. C_lankytojai = 500 g; C_papildymas = 8 × 1,2 = 9,6 g; C_bendras = 509,6 g/d; produkto 509,6 / 0,14 / 1000 = 3,64 kg/d, 25,5 kg per 7 d., 109,2 kg per 30 d. Papildymo minimumas pagal 49 p.: 250 × 30 l = 7,5 m³/d, todėl 8 m³/d jį atitinka. (q = 2 g čia tik skaičiavimo pavyzdys; failas atidaromas su svetainės mygtuko „Užpildyti pavyzdžiu“ duomenimis, q = 4,1 g.)</t>
  </si>
  <si>
    <t>Plačiau: https://skerry.eu/straipsniai/chloro-poreikis</t>
  </si>
  <si>
    <t>Langelių formulės ir atitikimas svetainės kodui</t>
  </si>
  <si>
    <t>Rodiklis</t>
  </si>
  <si>
    <t>Langelis</t>
  </si>
  <si>
    <t>Excel formulė</t>
  </si>
  <si>
    <t>Svetainės funkcija (frontend/)</t>
  </si>
  <si>
    <t>Skaičiuoklė!B20</t>
  </si>
  <si>
    <t>=IF($B$40,$B$21+$B$22+$B$23,"—")</t>
  </si>
  <si>
    <t>lib/calc/demand.ts demand().totalG</t>
  </si>
  <si>
    <t>Skaičiuoklė!B21</t>
  </si>
  <si>
    <t>=IF($B$40,$B$5*$B$6,"—")</t>
  </si>
  <si>
    <t>lib/calc/demand.ts demand().batherG</t>
  </si>
  <si>
    <t>Skaičiuoklė!B22</t>
  </si>
  <si>
    <t>=IF($B$40,IF($B$39,$B$12*$B$13*$B$14,0),"—")</t>
  </si>
  <si>
    <t>lib/calc/demand.ts demand().uvG</t>
  </si>
  <si>
    <t>Skaičiuoklė!B23</t>
  </si>
  <si>
    <t>=IF($B$40,$B$37*$B$38,"—")</t>
  </si>
  <si>
    <t>lib/calc/demand.ts demand().refillG</t>
  </si>
  <si>
    <t>Skaičiuoklė!B24</t>
  </si>
  <si>
    <t>=IF($B$40,$B$20/($B$10/100)/1000,"—")</t>
  </si>
  <si>
    <t>lib/calc/demand.ts demand().productKgDay</t>
  </si>
  <si>
    <t>Skaičiuoklė!B25</t>
  </si>
  <si>
    <t>=IF($B$40,$B$24*7,"—")</t>
  </si>
  <si>
    <t>DemandCalc.tsx: day * 7</t>
  </si>
  <si>
    <t>Skaičiuoklė!B26</t>
  </si>
  <si>
    <t>=IF($B$40,$B$24*30,"—")</t>
  </si>
  <si>
    <t>DemandCalc.tsx: day * 30</t>
  </si>
  <si>
    <t>Skaičiuoklė!B28</t>
  </si>
  <si>
    <t>=IF($B$45,$B$16*1000*($B$10/100),"—")</t>
  </si>
  <si>
    <t>lib/calc/demand.ts calibrate().activeG</t>
  </si>
  <si>
    <t>Skaičiuoklė!B29</t>
  </si>
  <si>
    <t>=IF($B$45,($B$28-$B$17*(0+$B$44))/$B$18,"—")</t>
  </si>
  <si>
    <t>lib/calc/demand.ts calibrate().qG</t>
  </si>
  <si>
    <t>Pranešimas: rezultatas</t>
  </si>
  <si>
    <t>Skaičiuoklė!B31</t>
  </si>
  <si>
    <t>=IF(NOT($B$40),"Įveskite lankytojų skaičių, sąnaudas vienam lankytojui ir produkto koncentraciją.",IF(OR($B$42,$B$43),"","Rezultatas priklauso nuo jūsų įvestų koeficientų; jis nėra teisės akto dydis ir ne jūsų objekto matavimas."))</t>
  </si>
  <si>
    <t>DemandCalc.tsx: pirmoji Stk grupė (r == null / info)</t>
  </si>
  <si>
    <t>Pranešimas: papildymas ir 49 p. minimumas</t>
  </si>
  <si>
    <t>Skaičiuoklė!B32</t>
  </si>
  <si>
    <t>=IF($B$42,"Papildymas per mažas. HN 109:2016, 49 p. reikalauja bent "&amp;ROUND($B$41,2)&amp;" m³ per dieną šiam lankytojų skaičiui.",IF($B$43,"Įvestas papildymas ne mažesnis už HN 109:2016, 49 p. minimumą ("&amp;ROUND($B$41,2)&amp;" m³ per dieną).",""))</t>
  </si>
  <si>
    <t>DemandCalc.tsx: refillLow / refillOk; lib/calc/demand.ts minRefillM3()</t>
  </si>
  <si>
    <t>Pranešimas: kalibravimas</t>
  </si>
  <si>
    <t>Skaičiuoklė!B33</t>
  </si>
  <si>
    <t>=IF(NOT($B$45),"Įveskite sunaudotą kiekį, laikotarpį ir lankytojų skaičių — gausite savo koeficientą.",IF($B$29&gt;0,"Atimta papildymo dalis pagal įvestus duomenis; saulės dalis neatimta, todėl atviram baseinui koeficientas apima ir ją.","Koeficientas neigiamas. Papildymo dalis viršija sunaudotą kiekį: patikrinkite įvestus duomenis."))</t>
  </si>
  <si>
    <t>DemandCalc.tsx: trečioji Stk grupė (cal)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</si>
</sst>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9" x14ac:knownFonts="1">
    <font>
      <color theme="1"/>
      <family val="2"/>
      <scheme val="minor"/>
      <sz val="11"/>
      <name val="Calibri"/>
    </font>
    <font>
      <b/>
      <color rgb="FFFFFFFF"/>
      <sz val="16"/>
      <name val="Calibri"/>
    </font>
    <font>
      <color rgb="FF0A1A22"/>
      <sz val="10"/>
      <name val="Calibri"/>
    </font>
    <font>
      <i/>
      <color rgb="FF5C6B73"/>
      <sz val="9"/>
      <name val="Calibri"/>
    </font>
    <font>
      <b/>
      <color rgb="FF0A5C70"/>
      <sz val="11"/>
      <name val="Calibri"/>
    </font>
    <font>
      <color rgb="FF0A1A22"/>
      <sz val="10.5"/>
      <name val="Calibri"/>
    </font>
    <font>
      <b/>
      <color rgb="FF0A1A22"/>
      <sz val="11"/>
      <name val="Calibri"/>
    </font>
    <font>
      <color rgb="FF5C6B73"/>
      <sz val="10"/>
      <name val="Calibri"/>
    </font>
    <font>
      <color rgb="FF5C6B73"/>
      <sz val="9.5"/>
      <name val="Calibri"/>
    </font>
    <font>
      <b/>
      <color rgb="FF0A1A22"/>
      <sz val="10.5"/>
      <name val="Calibri"/>
    </font>
    <font>
      <b/>
      <color rgb="FF0A5C70"/>
      <sz val="15"/>
      <name val="Calibri"/>
    </font>
    <font>
      <color rgb="FF0A1A22"/>
      <sz val="11"/>
      <name val="Calibri"/>
    </font>
    <font>
      <color rgb="FF5C6B73"/>
      <sz val="10.5"/>
      <name val="Calibri"/>
    </font>
    <font>
      <color rgb="FF5C6B73"/>
      <sz val="11"/>
      <name val="Calibri"/>
    </font>
    <font>
      <b/>
      <color rgb="FF0A5C70"/>
      <sz val="12"/>
      <name val="Calibri"/>
    </font>
    <font>
      <color rgb="FF0A1A22"/>
      <sz val="10"/>
      <name val="Consolas"/>
    </font>
    <font>
      <b/>
      <color rgb="FFFFFFFF"/>
      <sz val="10"/>
      <name val="Calibri"/>
    </font>
    <font>
      <color rgb="FF0A1A22"/>
      <sz val="9"/>
      <name val="Calibri"/>
    </font>
    <font>
      <color rgb="FF0A1A22"/>
      <sz val="9"/>
      <name val="Consolas"/>
    </font>
  </fonts>
  <fills count="6">
    <fill>
      <patternFill patternType="none"/>
    </fill>
    <fill>
      <patternFill patternType="gray125"/>
    </fill>
    <fill>
      <patternFill patternType="solid">
        <fgColor rgb="FF0A5C70"/>
      </patternFill>
    </fill>
    <fill>
      <patternFill patternType="solid">
        <fgColor rgb="FFF3F5F6"/>
      </patternFill>
    </fill>
    <fill>
      <patternFill patternType="solid">
        <fgColor rgb="FFDDEEF2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A5C70"/>
      </bottom>
      <diagonal/>
    </border>
    <border>
      <left style="thin">
        <color rgb="FF7DB1BE"/>
      </left>
      <right style="thin">
        <color rgb="FF7DB1BE"/>
      </right>
      <top style="thin">
        <color rgb="FF7DB1BE"/>
      </top>
      <bottom style="thin">
        <color rgb="FF7DB1BE"/>
      </bottom>
      <diagonal/>
    </border>
    <border>
      <left style="thin">
        <color rgb="FFCBD3D7"/>
      </left>
      <right style="thin">
        <color rgb="FFCBD3D7"/>
      </right>
      <top style="thin">
        <color rgb="FFCBD3D7"/>
      </top>
      <bottom style="thin">
        <color rgb="FFCBD3D7"/>
      </bottom>
      <diagonal/>
    </border>
    <border>
      <left/>
      <right/>
      <top/>
      <bottom style="thin">
        <color rgb="FF0A5C7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 applyAlignment="1">
      <alignment vertical="center" wrapText="1" indent="1"/>
    </xf>
    <xf numFmtId="0" fontId="4" fillId="0" borderId="1" xfId="0" applyFont="1" applyBorder="1" applyAlignment="1">
      <alignment vertical="bottom"/>
    </xf>
    <xf numFmtId="0" fontId="5" fillId="0" borderId="0" xfId="0" applyFont="1" applyAlignment="1">
      <alignment vertical="center" wrapText="1"/>
    </xf>
    <xf numFmtId="1" fontId="6" fillId="4" borderId="2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2" fontId="6" fillId="4" borderId="2" xfId="0" applyNumberFormat="1" applyFont="1" applyFill="1" applyBorder="1" applyAlignment="1">
      <alignment horizontal="right" vertical="center"/>
    </xf>
    <xf numFmtId="164" fontId="6" fillId="4" borderId="2" xfId="0" applyNumberFormat="1" applyFont="1" applyFill="1" applyBorder="1" applyAlignment="1">
      <alignment horizontal="right" vertical="center"/>
    </xf>
    <xf numFmtId="165" fontId="6" fillId="4" borderId="2" xfId="0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 wrapText="1"/>
    </xf>
    <xf numFmtId="1" fontId="10" fillId="5" borderId="3" xfId="0" applyNumberFormat="1" applyFont="1" applyFill="1" applyBorder="1" applyAlignment="1">
      <alignment horizontal="right" vertical="center"/>
    </xf>
    <xf numFmtId="1" fontId="11" fillId="5" borderId="3" xfId="0" applyNumberFormat="1" applyFont="1" applyFill="1" applyBorder="1" applyAlignment="1">
      <alignment horizontal="right" vertical="center"/>
    </xf>
    <xf numFmtId="2" fontId="11" fillId="5" borderId="3" xfId="0" applyNumberFormat="1" applyFont="1" applyFill="1" applyBorder="1" applyAlignment="1">
      <alignment horizontal="right" vertical="center"/>
    </xf>
    <xf numFmtId="164" fontId="11" fillId="5" borderId="3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vertical="center" wrapText="1"/>
    </xf>
    <xf numFmtId="0" fontId="2" fillId="3" borderId="0" xfId="0" applyFont="1" applyFill="1" applyAlignment="1">
      <alignment vertical="center" wrapText="1"/>
    </xf>
    <xf numFmtId="1" fontId="13" fillId="3" borderId="3" xfId="0" applyNumberFormat="1" applyFont="1" applyFill="1" applyBorder="1" applyAlignment="1">
      <alignment horizontal="right" vertical="center"/>
    </xf>
    <xf numFmtId="0" fontId="13" fillId="3" borderId="3" xfId="0" applyFont="1" applyFill="1" applyBorder="1" applyAlignment="1">
      <alignment horizontal="right" vertical="center"/>
    </xf>
    <xf numFmtId="2" fontId="13" fillId="3" borderId="3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top" wrapText="1"/>
    </xf>
    <xf numFmtId="0" fontId="14" fillId="0" borderId="4" xfId="0" applyFont="1" applyBorder="1"/>
    <xf numFmtId="0" fontId="15" fillId="3" borderId="0" xfId="0" applyFont="1" applyFill="1" applyAlignment="1">
      <alignment vertical="top" wrapText="1"/>
    </xf>
    <xf numFmtId="0" fontId="5" fillId="0" borderId="0" xfId="0" applyFont="1" applyAlignment="1">
      <alignment vertical="top" wrapText="1" indent="1"/>
    </xf>
    <xf numFmtId="0" fontId="16" fillId="2" borderId="3" xfId="0" applyFont="1" applyFill="1" applyBorder="1" applyAlignment="1">
      <alignment vertical="top" wrapText="1"/>
    </xf>
    <xf numFmtId="0" fontId="17" fillId="0" borderId="3" xfId="0" applyFont="1" applyBorder="1" applyAlignment="1">
      <alignment vertical="top" wrapText="1"/>
    </xf>
    <xf numFmtId="0" fontId="18" fillId="0" borderId="3" xfId="0" applyFont="1" applyBorder="1" applyAlignment="1">
      <alignment vertical="top" wrapText="1"/>
    </xf>
  </cellXfs>
  <cellStyles count="1">
    <cellStyle name="Normal" xfId="0" builtinId="0"/>
  </cellStyles>
  <dxfs count="3">
    <dxf>
      <font>
        <color rgb="FF9A2A1F"/>
      </font>
      <fill>
        <patternFill patternType="solid">
          <bgColor rgb="FFFBE1DE"/>
        </patternFill>
      </fill>
    </dxf>
    <dxf>
      <font>
        <color rgb="FF1B5E36"/>
      </font>
      <fill>
        <patternFill patternType="solid">
          <bgColor rgb="FFE0F1E6"/>
        </patternFill>
      </fill>
    </dxf>
    <dxf>
      <font>
        <color rgb="FF7A5200"/>
      </font>
      <fill>
        <patternFill patternType="solid">
          <bgColor rgb="FFFFF1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A5C70"/>
    <pageSetUpPr fitToPage="1"/>
  </sheetPr>
  <dimension ref="A1:D45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20" customWidth="1"/>
    <col min="3" max="3" width="22" customWidth="1"/>
    <col min="4" max="4" width="62" customWidth="1"/>
  </cols>
  <sheetData>
    <row r="1" ht="30" customHeight="1" spans="1:4" x14ac:dyDescent="0.25">
      <c r="A1" s="1" t="s">
        <v>0</v>
      </c>
      <c r="B1" s="1"/>
      <c r="C1" s="1"/>
      <c r="D1" s="1"/>
    </row>
    <row r="2" ht="48" customHeight="1" spans="1:4" x14ac:dyDescent="0.25">
      <c r="A2" s="2" t="s">
        <v>1</v>
      </c>
      <c r="B2" s="2"/>
      <c r="C2" s="2"/>
      <c r="D2" s="2"/>
    </row>
    <row r="3" ht="14" customHeight="1" spans="1:4" x14ac:dyDescent="0.25">
      <c r="A3" s="3" t="s">
        <v>2</v>
      </c>
      <c r="B3" s="3"/>
      <c r="C3" s="3"/>
      <c r="D3" s="3"/>
    </row>
    <row r="4" ht="22" customHeight="1" spans="1:4" x14ac:dyDescent="0.25">
      <c r="A4" s="4" t="s">
        <v>3</v>
      </c>
      <c r="B4" s="4"/>
      <c r="C4" s="4"/>
      <c r="D4" s="4"/>
    </row>
    <row r="5" ht="18" customHeight="1" spans="1:4" x14ac:dyDescent="0.25">
      <c r="A5" s="5" t="s">
        <v>4</v>
      </c>
      <c r="B5" s="6">
        <v>250</v>
      </c>
      <c r="C5" s="7" t="s">
        <v>5</v>
      </c>
      <c r="D5" s="8" t="s">
        <v>5</v>
      </c>
    </row>
    <row r="6" ht="44" customHeight="1" spans="1:4" x14ac:dyDescent="0.25">
      <c r="A6" s="5" t="s">
        <v>6</v>
      </c>
      <c r="B6" s="9">
        <v>4.1</v>
      </c>
      <c r="C6" s="7" t="s">
        <v>7</v>
      </c>
      <c r="D6" s="8" t="s">
        <v>8</v>
      </c>
    </row>
    <row r="7" ht="22" customHeight="1" spans="1:4" x14ac:dyDescent="0.25">
      <c r="A7" s="4" t="s">
        <v>9</v>
      </c>
      <c r="B7" s="4"/>
      <c r="C7" s="4"/>
      <c r="D7" s="4"/>
    </row>
    <row r="8" ht="31" customHeight="1" spans="1:4" x14ac:dyDescent="0.25">
      <c r="A8" s="5" t="s">
        <v>10</v>
      </c>
      <c r="B8" s="9">
        <v>8</v>
      </c>
      <c r="C8" s="7" t="s">
        <v>11</v>
      </c>
      <c r="D8" s="8" t="str">
        <f>"HN 109:2016, 49 p.: ne mažiau kaip "&amp;ROUND($B$35,0)&amp;" l vienam lankytojui per dieną"</f>
        <v>HN 109:2016, 49 p.: ne mažiau kaip 30 l vienam lankytojui per dieną</v>
      </c>
    </row>
    <row r="9" ht="18" customHeight="1" spans="1:4" x14ac:dyDescent="0.25">
      <c r="A9" s="5" t="s">
        <v>12</v>
      </c>
      <c r="B9" s="9">
        <v>1.2</v>
      </c>
      <c r="C9" s="7" t="s">
        <v>13</v>
      </c>
      <c r="D9" s="8" t="s">
        <v>14</v>
      </c>
    </row>
    <row r="10" ht="18" customHeight="1" spans="1:4" x14ac:dyDescent="0.25">
      <c r="A10" s="5" t="s">
        <v>15</v>
      </c>
      <c r="B10" s="9">
        <v>14</v>
      </c>
      <c r="C10" s="7" t="s">
        <v>16</v>
      </c>
      <c r="D10" s="8" t="s">
        <v>17</v>
      </c>
    </row>
    <row r="11" ht="22" customHeight="1" spans="1:4" x14ac:dyDescent="0.25">
      <c r="A11" s="4" t="s">
        <v>18</v>
      </c>
      <c r="B11" s="4"/>
      <c r="C11" s="4"/>
      <c r="D11" s="4"/>
    </row>
    <row r="12" ht="18" customHeight="1" spans="1:4" x14ac:dyDescent="0.25">
      <c r="A12" s="5" t="s">
        <v>19</v>
      </c>
      <c r="B12" s="10"/>
      <c r="C12" s="7" t="s">
        <v>20</v>
      </c>
      <c r="D12" s="8" t="s">
        <v>21</v>
      </c>
    </row>
    <row r="13" ht="18" customHeight="1" spans="1:4" x14ac:dyDescent="0.25">
      <c r="A13" s="5" t="s">
        <v>22</v>
      </c>
      <c r="B13" s="10"/>
      <c r="C13" s="7" t="s">
        <v>23</v>
      </c>
      <c r="D13" s="8" t="s">
        <v>5</v>
      </c>
    </row>
    <row r="14" ht="44" customHeight="1" spans="1:4" x14ac:dyDescent="0.25">
      <c r="A14" s="5" t="s">
        <v>24</v>
      </c>
      <c r="B14" s="11"/>
      <c r="C14" s="7" t="s">
        <v>25</v>
      </c>
      <c r="D14" s="8" t="s">
        <v>26</v>
      </c>
    </row>
    <row r="15" ht="22" customHeight="1" spans="1:4" x14ac:dyDescent="0.25">
      <c r="A15" s="4" t="s">
        <v>27</v>
      </c>
      <c r="B15" s="4"/>
      <c r="C15" s="4"/>
      <c r="D15" s="4"/>
    </row>
    <row r="16" ht="18" customHeight="1" spans="1:4" x14ac:dyDescent="0.25">
      <c r="A16" s="5" t="s">
        <v>28</v>
      </c>
      <c r="B16" s="9"/>
      <c r="C16" s="7" t="s">
        <v>29</v>
      </c>
      <c r="D16" s="8" t="s">
        <v>30</v>
      </c>
    </row>
    <row r="17" ht="18" customHeight="1" spans="1:4" x14ac:dyDescent="0.25">
      <c r="A17" s="5" t="s">
        <v>31</v>
      </c>
      <c r="B17" s="6"/>
      <c r="C17" s="7" t="s">
        <v>32</v>
      </c>
      <c r="D17" s="8" t="s">
        <v>5</v>
      </c>
    </row>
    <row r="18" ht="18" customHeight="1" spans="1:4" x14ac:dyDescent="0.25">
      <c r="A18" s="5" t="s">
        <v>33</v>
      </c>
      <c r="B18" s="6"/>
      <c r="C18" s="7" t="s">
        <v>5</v>
      </c>
      <c r="D18" s="8" t="s">
        <v>5</v>
      </c>
    </row>
    <row r="19" ht="22" customHeight="1" spans="1:4" x14ac:dyDescent="0.25">
      <c r="A19" s="4" t="s">
        <v>34</v>
      </c>
      <c r="B19" s="4"/>
      <c r="C19" s="4"/>
      <c r="D19" s="4"/>
    </row>
    <row r="20" ht="26" customHeight="1" spans="1:4" x14ac:dyDescent="0.25">
      <c r="A20" s="12" t="s">
        <v>35</v>
      </c>
      <c r="B20" s="13">
        <f>IF($B$40,$B$21+$B$22+$B$23,"—")</f>
        <v>1034.6</v>
      </c>
      <c r="C20" s="7" t="str">
        <f>IF($B$40,"g per dieną","")</f>
        <v>g per dieną</v>
      </c>
      <c r="D20" s="8" t="s">
        <v>36</v>
      </c>
    </row>
    <row r="21" ht="18" customHeight="1" spans="1:4" x14ac:dyDescent="0.25">
      <c r="A21" s="5" t="s">
        <v>37</v>
      </c>
      <c r="B21" s="14">
        <f>IF($B$40,$B$5*$B$6,"—")</f>
        <v>1025</v>
      </c>
      <c r="C21" s="7" t="s">
        <v>38</v>
      </c>
      <c r="D21" s="8" t="str">
        <f>IF($B$40,IF($B$20&gt;0,ROUND($B$21/$B$20*100,0)&amp;" %",""),"")</f>
        <v>99 %</v>
      </c>
    </row>
    <row r="22" ht="18" customHeight="1" spans="1:4" x14ac:dyDescent="0.25">
      <c r="A22" s="5" t="s">
        <v>39</v>
      </c>
      <c r="B22" s="14">
        <f>IF($B$40,IF($B$39,$B$12*$B$13*$B$14,0),"—")</f>
        <v>0</v>
      </c>
      <c r="C22" s="7" t="s">
        <v>38</v>
      </c>
      <c r="D22" s="8" t="str">
        <f>IF($B$40,IF($B$20&gt;0,ROUND($B$22/$B$20*100,0)&amp;" %",""),"")</f>
        <v>0 %</v>
      </c>
    </row>
    <row r="23" ht="18" customHeight="1" spans="1:4" x14ac:dyDescent="0.25">
      <c r="A23" s="5" t="s">
        <v>40</v>
      </c>
      <c r="B23" s="14">
        <f>IF($B$40,$B$37*$B$38,"—")</f>
        <v>9.6</v>
      </c>
      <c r="C23" s="7" t="s">
        <v>38</v>
      </c>
      <c r="D23" s="8" t="str">
        <f>IF($B$40,IF($B$20&gt;0,ROUND($B$23/$B$20*100,0)&amp;" %",""),"")</f>
        <v>1 %</v>
      </c>
    </row>
    <row r="24" ht="18" customHeight="1" spans="1:4" x14ac:dyDescent="0.25">
      <c r="A24" s="5" t="s">
        <v>41</v>
      </c>
      <c r="B24" s="15">
        <f>IF($B$40,$B$20/($B$10/100)/1000,"—")</f>
        <v>7.389999999999999</v>
      </c>
      <c r="C24" s="7" t="s">
        <v>29</v>
      </c>
      <c r="D24" s="8" t="s">
        <v>5</v>
      </c>
    </row>
    <row r="25" ht="18" customHeight="1" spans="1:4" x14ac:dyDescent="0.25">
      <c r="A25" s="5" t="s">
        <v>42</v>
      </c>
      <c r="B25" s="16">
        <f>IF($B$40,$B$24*7,"—")</f>
        <v>51.72999999999999</v>
      </c>
      <c r="C25" s="7" t="s">
        <v>29</v>
      </c>
      <c r="D25" s="8" t="s">
        <v>5</v>
      </c>
    </row>
    <row r="26" ht="18" customHeight="1" spans="1:4" x14ac:dyDescent="0.25">
      <c r="A26" s="5" t="s">
        <v>43</v>
      </c>
      <c r="B26" s="16">
        <f>IF($B$40,$B$24*30,"—")</f>
        <v>221.69999999999996</v>
      </c>
      <c r="C26" s="7" t="s">
        <v>29</v>
      </c>
      <c r="D26" s="8" t="s">
        <v>5</v>
      </c>
    </row>
    <row r="27" ht="22" customHeight="1" spans="1:4" x14ac:dyDescent="0.25">
      <c r="A27" s="4" t="s">
        <v>44</v>
      </c>
      <c r="B27" s="4"/>
      <c r="C27" s="4"/>
      <c r="D27" s="4"/>
    </row>
    <row r="28" ht="18" customHeight="1" spans="1:4" x14ac:dyDescent="0.25">
      <c r="A28" s="5" t="s">
        <v>45</v>
      </c>
      <c r="B28" s="14" t="str">
        <f>IF($B$45,$B$16*1000*($B$10/100),"—")</f>
        <v>—</v>
      </c>
      <c r="C28" s="7" t="s">
        <v>38</v>
      </c>
      <c r="D28" s="8" t="s">
        <v>5</v>
      </c>
    </row>
    <row r="29" ht="31" customHeight="1" spans="1:4" x14ac:dyDescent="0.25">
      <c r="A29" s="5" t="s">
        <v>46</v>
      </c>
      <c r="B29" s="15" t="str">
        <f>IF($B$45,($B$28-$B$17*(0+$B$44))/$B$18,"—")</f>
        <v>—</v>
      </c>
      <c r="C29" s="7" t="s">
        <v>38</v>
      </c>
      <c r="D29" s="8" t="s">
        <v>47</v>
      </c>
    </row>
    <row r="30" ht="22" customHeight="1" spans="1:4" x14ac:dyDescent="0.25">
      <c r="A30" s="4" t="s">
        <v>48</v>
      </c>
      <c r="B30" s="4"/>
      <c r="C30" s="4"/>
      <c r="D30" s="4"/>
    </row>
    <row r="31" ht="30" customHeight="1" spans="1:4" x14ac:dyDescent="0.25">
      <c r="A31" s="17" t="s">
        <v>49</v>
      </c>
      <c r="B31" s="18" t="str">
        <f>IF(NOT($B$40),"Įveskite lankytojų skaičių, sąnaudas vienam lankytojui ir produkto koncentraciją.",IF(OR($B$42,$B$43),"","Rezultatas priklauso nuo jūsų įvestų koeficientų; jis nėra teisės akto dydis ir ne jūsų objekto matavimas."))</f>
        <v/>
      </c>
      <c r="C31" s="18"/>
      <c r="D31" s="18"/>
    </row>
    <row r="32" ht="30" customHeight="1" spans="1:4" x14ac:dyDescent="0.25">
      <c r="A32" s="17" t="s">
        <v>50</v>
      </c>
      <c r="B32" s="18" t="str">
        <f>IF($B$42,"Papildymas per mažas. HN 109:2016, 49 p. reikalauja bent "&amp;ROUND($B$41,2)&amp;" m³ per dieną šiam lankytojų skaičiui.",IF($B$43,"Įvestas papildymas ne mažesnis už HN 109:2016, 49 p. minimumą ("&amp;ROUND($B$41,2)&amp;" m³ per dieną).",""))</f>
        <v>Įvestas papildymas ne mažesnis už HN 109:2016, 49 p. minimumą (7,5 m³ per dieną).</v>
      </c>
      <c r="C32" s="18"/>
      <c r="D32" s="18"/>
    </row>
    <row r="33" ht="30" customHeight="1" spans="1:4" x14ac:dyDescent="0.25">
      <c r="A33" s="17" t="s">
        <v>51</v>
      </c>
      <c r="B33" s="18" t="str">
        <f>IF(NOT($B$45),"Įveskite sunaudotą kiekį, laikotarpį ir lankytojų skaičių — gausite savo koeficientą.",IF($B$29&gt;0,"Atimta papildymo dalis pagal įvestus duomenis; saulės dalis neatimta, todėl atviram baseinui koeficientas apima ir ją.","Koeficientas neigiamas. Papildymo dalis viršija sunaudotą kiekį: patikrinkite įvestus duomenis."))</f>
        <v>Įveskite sunaudotą kiekį, laikotarpį ir lankytojų skaičių — gausite savo koeficientą.</v>
      </c>
      <c r="C33" s="18"/>
      <c r="D33" s="18"/>
    </row>
    <row r="34" ht="22" customHeight="1" spans="1:4" x14ac:dyDescent="0.25">
      <c r="A34" s="4" t="s">
        <v>52</v>
      </c>
      <c r="B34" s="4"/>
      <c r="C34" s="4"/>
      <c r="D34" s="4"/>
    </row>
    <row r="35" ht="18" customHeight="1" spans="1:4" x14ac:dyDescent="0.25">
      <c r="A35" s="5" t="s">
        <v>53</v>
      </c>
      <c r="B35" s="19">
        <v>30</v>
      </c>
      <c r="C35" s="7" t="s">
        <v>54</v>
      </c>
      <c r="D35" s="8" t="s">
        <v>55</v>
      </c>
    </row>
    <row r="36" ht="22" customHeight="1" spans="1:4" x14ac:dyDescent="0.25">
      <c r="A36" s="4" t="s">
        <v>56</v>
      </c>
      <c r="B36" s="4"/>
      <c r="C36" s="4"/>
      <c r="D36" s="4"/>
    </row>
    <row r="37" ht="18" customHeight="1" spans="1:4" x14ac:dyDescent="0.25">
      <c r="A37" s="5" t="s">
        <v>57</v>
      </c>
      <c r="B37" s="20">
        <f>IF(ISNUMBER($B$8),$B$8,0)</f>
        <v>8</v>
      </c>
      <c r="C37" s="7" t="s">
        <v>58</v>
      </c>
      <c r="D37" s="8" t="s">
        <v>5</v>
      </c>
    </row>
    <row r="38" ht="18" customHeight="1" spans="1:4" x14ac:dyDescent="0.25">
      <c r="A38" s="5" t="s">
        <v>59</v>
      </c>
      <c r="B38" s="20">
        <f>IF(ISNUMBER($B$9),$B$9,0)</f>
        <v>1.2</v>
      </c>
      <c r="C38" s="7" t="s">
        <v>13</v>
      </c>
      <c r="D38" s="8" t="s">
        <v>5</v>
      </c>
    </row>
    <row r="39" ht="18" customHeight="1" spans="1:4" x14ac:dyDescent="0.25">
      <c r="A39" s="5" t="s">
        <v>60</v>
      </c>
      <c r="B39" s="20" t="b">
        <f>IF(AND(ISNUMBER($B$12),ISNUMBER($B$13),ISNUMBER($B$14)),AND($B$12&gt;0,$B$13&gt;0,$B$14&gt;=0),FALSE())</f>
        <v>0</v>
      </c>
      <c r="C39" s="7" t="s">
        <v>5</v>
      </c>
      <c r="D39" s="8" t="s">
        <v>61</v>
      </c>
    </row>
    <row r="40" ht="18" customHeight="1" spans="1:4" x14ac:dyDescent="0.25">
      <c r="A40" s="5" t="s">
        <v>62</v>
      </c>
      <c r="B40" s="20" t="b">
        <f>IF(AND(ISNUMBER($B$5),ISNUMBER($B$6),ISNUMBER($B$10)),AND($B$5&gt;=0,$B$6&gt;=0,$B$10&gt;0,$B$37&gt;=0,$B$38&gt;=0),FALSE())</f>
        <v>1</v>
      </c>
      <c r="C40" s="7" t="s">
        <v>5</v>
      </c>
      <c r="D40" s="8" t="s">
        <v>5</v>
      </c>
    </row>
    <row r="41" ht="18" customHeight="1" spans="1:4" x14ac:dyDescent="0.25">
      <c r="A41" s="5" t="s">
        <v>63</v>
      </c>
      <c r="B41" s="21">
        <f>IF(ISNUMBER($B$5),IF($B$5&gt;=0,$B$5*$B$35/1000,""),"")</f>
        <v>7.5</v>
      </c>
      <c r="C41" s="7" t="s">
        <v>11</v>
      </c>
      <c r="D41" s="8" t="s">
        <v>5</v>
      </c>
    </row>
    <row r="42" ht="18" customHeight="1" spans="1:4" x14ac:dyDescent="0.25">
      <c r="A42" s="5" t="s">
        <v>64</v>
      </c>
      <c r="B42" s="20" t="b">
        <f>IF(AND(ISNUMBER($B$41),ISNUMBER($B$8)),$B$8&lt;$B$41,FALSE())</f>
        <v>0</v>
      </c>
      <c r="C42" s="7" t="s">
        <v>5</v>
      </c>
      <c r="D42" s="8" t="s">
        <v>5</v>
      </c>
    </row>
    <row r="43" ht="18" customHeight="1" spans="1:4" x14ac:dyDescent="0.25">
      <c r="A43" s="5" t="s">
        <v>65</v>
      </c>
      <c r="B43" s="20" t="b">
        <f>IF(AND(ISNUMBER($B$41),ISNUMBER($B$8)),$B$8&gt;=$B$41,FALSE())</f>
        <v>1</v>
      </c>
      <c r="C43" s="7" t="s">
        <v>5</v>
      </c>
      <c r="D43" s="8" t="s">
        <v>5</v>
      </c>
    </row>
    <row r="44" ht="18" customHeight="1" spans="1:4" x14ac:dyDescent="0.25">
      <c r="A44" s="5" t="s">
        <v>66</v>
      </c>
      <c r="B44" s="20">
        <f>IF(AND(ISNUMBER($B$8),ISNUMBER($B$9)),$B$8*$B$9,0)</f>
        <v>9.6</v>
      </c>
      <c r="C44" s="7" t="s">
        <v>67</v>
      </c>
      <c r="D44" s="8" t="s">
        <v>5</v>
      </c>
    </row>
    <row r="45" ht="18" customHeight="1" spans="1:4" x14ac:dyDescent="0.25">
      <c r="A45" s="5" t="s">
        <v>68</v>
      </c>
      <c r="B45" s="20" t="b">
        <f>IF(AND(ISNUMBER($B$16),ISNUMBER($B$10),ISNUMBER($B$17),ISNUMBER($B$18)),AND($B$16&gt;0,$B$10&gt;0,$B$17&gt;0,$B$18&gt;0),FALSE())</f>
        <v>0</v>
      </c>
      <c r="C45" s="7" t="s">
        <v>5</v>
      </c>
      <c r="D45" s="8" t="s">
        <v>5</v>
      </c>
    </row>
  </sheetData>
  <mergeCells count="15">
    <mergeCell ref="A1:D1"/>
    <mergeCell ref="A2:D2"/>
    <mergeCell ref="A3:D3"/>
    <mergeCell ref="A4:D4"/>
    <mergeCell ref="A7:D7"/>
    <mergeCell ref="A11:D11"/>
    <mergeCell ref="A15:D15"/>
    <mergeCell ref="A19:D19"/>
    <mergeCell ref="A27:D27"/>
    <mergeCell ref="A30:D30"/>
    <mergeCell ref="B31:D31"/>
    <mergeCell ref="B32:D32"/>
    <mergeCell ref="B33:D33"/>
    <mergeCell ref="A34:D34"/>
    <mergeCell ref="A36:D36"/>
  </mergeCells>
  <conditionalFormatting sqref="B32:D32">
    <cfRule type="expression" dxfId="0" priority="1">
      <formula>$B$42</formula>
    </cfRule>
    <cfRule type="expression" dxfId="1" priority="2">
      <formula>$B$43</formula>
    </cfRule>
  </conditionalFormatting>
  <conditionalFormatting sqref="B33:D33">
    <cfRule type="expression" dxfId="2" priority="1">
      <formula>IF($B$45,$B$29&lt;=0,FALSE())</formula>
    </cfRule>
  </conditionalFormatting>
  <dataValidations count="11">
    <dataValidation type="decimal" operator="greaterThan" allowBlank="1" showInputMessage="1" promptTitle="Koncentracija" prompt="Turi būti didesnis už 0" showErrorMessage="1" errorStyle="stop" errorTitle="Koncentracija" error="Turi būti didesnis už 0" sqref="B10">
      <formula1>0</formula1>
    </dataValidation>
    <dataValidation type="decimal" operator="greaterThan" allowBlank="1" showInputMessage="1" promptTitle="Plotas" prompt="Turi būti didesnis už 0" showErrorMessage="1" errorStyle="stop" errorTitle="Plotas" error="Turi būti didesnis už 0" sqref="B12">
      <formula1>0</formula1>
    </dataValidation>
    <dataValidation type="decimal" operator="greaterThan" allowBlank="1" showInputMessage="1" promptTitle="Valandos" prompt="Turi būti didesnis už 0" showErrorMessage="1" errorStyle="stop" errorTitle="Valandos" error="Turi būti didesnis už 0" sqref="B13">
      <formula1>0</formula1>
    </dataValidation>
    <dataValidation type="decimal" operator="greaterThanOrEqual" allowBlank="1" showInputMessage="1" promptTitle="k_UV" prompt="Negali būti neigiamas" showErrorMessage="1" errorStyle="stop" errorTitle="k_UV" error="Negali būti neigiamas" sqref="B14">
      <formula1>0</formula1>
    </dataValidation>
    <dataValidation type="decimal" operator="greaterThan" allowBlank="1" showInputMessage="1" promptTitle="Sunaudota" prompt="Turi būti didesnis už 0" showErrorMessage="1" errorStyle="stop" errorTitle="Sunaudota" error="Turi būti didesnis už 0" sqref="B16">
      <formula1>0</formula1>
    </dataValidation>
    <dataValidation type="decimal" operator="greaterThan" allowBlank="1" showInputMessage="1" promptTitle="Laikotarpis" prompt="Turi būti didesnis už 0" showErrorMessage="1" errorStyle="stop" errorTitle="Laikotarpis" error="Turi būti didesnis už 0" sqref="B17">
      <formula1>0</formula1>
    </dataValidation>
    <dataValidation type="decimal" operator="greaterThan" allowBlank="1" showInputMessage="1" promptTitle="Lankytojai" prompt="Turi būti didesnis už 0" showErrorMessage="1" errorStyle="stop" errorTitle="Lankytojai" error="Turi būti didesnis už 0" sqref="B18">
      <formula1>0</formula1>
    </dataValidation>
    <dataValidation type="decimal" operator="greaterThanOrEqual" allowBlank="1" showInputMessage="1" promptTitle="Lankytojai" prompt="Negali būti neigiamas" showErrorMessage="1" errorStyle="stop" errorTitle="Lankytojai" error="Negali būti neigiamas" sqref="B5">
      <formula1>0</formula1>
    </dataValidation>
    <dataValidation type="decimal" operator="greaterThanOrEqual" allowBlank="1" showInputMessage="1" promptTitle="Sąnaudos q" prompt="Negali būti neigiamas" showErrorMessage="1" errorStyle="stop" errorTitle="Sąnaudos q" error="Negali būti neigiamas" sqref="B6">
      <formula1>0</formula1>
    </dataValidation>
    <dataValidation type="decimal" operator="greaterThanOrEqual" allowBlank="1" showInputMessage="1" promptTitle="Papildymas" prompt="Negali būti neigiamas" showErrorMessage="1" errorStyle="stop" errorTitle="Papildymas" error="Negali būti neigiamas" sqref="B8">
      <formula1>0</formula1>
    </dataValidation>
    <dataValidation type="decimal" operator="greaterThanOrEqual" allowBlank="1" showInputMessage="1" promptTitle="Rodmuo" prompt="Negali būti neigiamas" showErrorMessage="1" errorStyle="stop" errorTitle="Rodmuo" error="Negali būti neigiamas" sqref="B9">
      <formula1>0</formula1>
    </dataValidation>
  </dataValidations>
  <pageMargins left="0.5" right="0.5" top="0.6" bottom="0.7" header="0.3" footer="0.3"/>
  <pageSetup paperSize="9" orientation="portrait" fitToWidth="1" fitToHeight="0"/>
  <headerFooter>
    <oddFooter>&amp;L&amp;8Skerry.eu — orientacinė skaičiuoklė&amp;C&amp;8&amp;A&amp;R&amp;8Puslapis &amp;P iš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C6B73"/>
    <pageSetUpPr fitToPage="1"/>
  </sheetPr>
  <dimension ref="A1:D54"/>
  <sheetViews>
    <sheetView workbookViewId="0" showGridLines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4" customWidth="1"/>
    <col min="3" max="3" width="70" customWidth="1"/>
    <col min="4" max="4" width="44" customWidth="1"/>
  </cols>
  <sheetData>
    <row r="1" ht="30" customHeight="1" spans="1:4" x14ac:dyDescent="0.25">
      <c r="A1" s="1" t="s">
        <v>69</v>
      </c>
      <c r="B1" s="1"/>
      <c r="C1" s="1"/>
      <c r="D1" s="1"/>
    </row>
    <row r="3" ht="32" customHeight="1" spans="1:4" x14ac:dyDescent="0.25">
      <c r="A3" s="22" t="s">
        <v>70</v>
      </c>
      <c r="B3" s="22"/>
      <c r="C3" s="22"/>
      <c r="D3" s="22"/>
    </row>
    <row r="5" ht="22" customHeight="1" spans="1:4" x14ac:dyDescent="0.25">
      <c r="A5" s="23" t="s">
        <v>71</v>
      </c>
      <c r="B5" s="23"/>
      <c r="C5" s="23"/>
      <c r="D5" s="23"/>
    </row>
    <row r="6" ht="17.5" customHeight="1" spans="1:4" x14ac:dyDescent="0.25">
      <c r="A6" s="24" t="s">
        <v>72</v>
      </c>
      <c r="B6" s="24"/>
      <c r="C6" s="24"/>
      <c r="D6" s="24"/>
    </row>
    <row r="7" ht="17.5" customHeight="1" spans="1:4" x14ac:dyDescent="0.25">
      <c r="A7" s="24" t="s">
        <v>73</v>
      </c>
      <c r="B7" s="24"/>
      <c r="C7" s="24"/>
      <c r="D7" s="24"/>
    </row>
    <row r="8" ht="17.5" customHeight="1" spans="1:4" x14ac:dyDescent="0.25">
      <c r="A8" s="24" t="s">
        <v>74</v>
      </c>
      <c r="B8" s="24"/>
      <c r="C8" s="24"/>
      <c r="D8" s="24"/>
    </row>
    <row r="9" ht="17.5" customHeight="1" spans="1:4" x14ac:dyDescent="0.25">
      <c r="A9" s="24" t="s">
        <v>75</v>
      </c>
      <c r="B9" s="24"/>
      <c r="C9" s="24"/>
      <c r="D9" s="24"/>
    </row>
    <row r="10" ht="17.5" customHeight="1" spans="1:4" x14ac:dyDescent="0.25">
      <c r="A10" s="24" t="s">
        <v>76</v>
      </c>
      <c r="B10" s="24"/>
      <c r="C10" s="24"/>
      <c r="D10" s="24"/>
    </row>
    <row r="11" ht="17.5" customHeight="1" spans="1:4" x14ac:dyDescent="0.25">
      <c r="A11" s="24" t="s">
        <v>77</v>
      </c>
      <c r="B11" s="24"/>
      <c r="C11" s="24"/>
      <c r="D11" s="24"/>
    </row>
    <row r="12" ht="17.5" customHeight="1" spans="1:4" x14ac:dyDescent="0.25">
      <c r="A12" s="24" t="s">
        <v>78</v>
      </c>
      <c r="B12" s="24"/>
      <c r="C12" s="24"/>
      <c r="D12" s="24"/>
    </row>
    <row r="13" ht="32" customHeight="1" spans="1:4" x14ac:dyDescent="0.25">
      <c r="A13" s="22" t="s">
        <v>79</v>
      </c>
      <c r="B13" s="22"/>
      <c r="C13" s="22"/>
      <c r="D13" s="22"/>
    </row>
    <row r="15" ht="22" customHeight="1" spans="1:4" x14ac:dyDescent="0.25">
      <c r="A15" s="23" t="s">
        <v>80</v>
      </c>
      <c r="B15" s="23"/>
      <c r="C15" s="23"/>
      <c r="D15" s="23"/>
    </row>
    <row r="16" ht="32" customHeight="1" spans="1:4" x14ac:dyDescent="0.25">
      <c r="A16" s="22" t="s">
        <v>81</v>
      </c>
      <c r="B16" s="22"/>
      <c r="C16" s="22"/>
      <c r="D16" s="22"/>
    </row>
    <row r="17" ht="17.5" customHeight="1" spans="1:4" x14ac:dyDescent="0.25">
      <c r="A17" s="25" t="s">
        <v>82</v>
      </c>
      <c r="B17" s="25"/>
      <c r="C17" s="25"/>
      <c r="D17" s="25"/>
    </row>
    <row r="18" ht="17.5" customHeight="1" spans="1:4" x14ac:dyDescent="0.25">
      <c r="A18" s="25" t="s">
        <v>83</v>
      </c>
      <c r="B18" s="25"/>
      <c r="C18" s="25"/>
      <c r="D18" s="25"/>
    </row>
    <row r="19" ht="17.5" customHeight="1" spans="1:4" x14ac:dyDescent="0.25">
      <c r="A19" s="25" t="s">
        <v>84</v>
      </c>
      <c r="B19" s="25"/>
      <c r="C19" s="25"/>
      <c r="D19" s="25"/>
    </row>
    <row r="20" ht="32" customHeight="1" spans="1:4" x14ac:dyDescent="0.25">
      <c r="A20" s="22" t="s">
        <v>85</v>
      </c>
      <c r="B20" s="22"/>
      <c r="C20" s="22"/>
      <c r="D20" s="22"/>
    </row>
    <row r="21" ht="75.5" customHeight="1" spans="1:4" x14ac:dyDescent="0.25">
      <c r="A21" s="22" t="s">
        <v>86</v>
      </c>
      <c r="B21" s="22"/>
      <c r="C21" s="22"/>
      <c r="D21" s="22"/>
    </row>
    <row r="23" ht="22" customHeight="1" spans="1:4" x14ac:dyDescent="0.25">
      <c r="A23" s="23" t="s">
        <v>44</v>
      </c>
      <c r="B23" s="23"/>
      <c r="C23" s="23"/>
      <c r="D23" s="23"/>
    </row>
    <row r="24" ht="17.5" customHeight="1" spans="1:4" x14ac:dyDescent="0.25">
      <c r="A24" s="24" t="s">
        <v>87</v>
      </c>
      <c r="B24" s="24"/>
      <c r="C24" s="24"/>
      <c r="D24" s="24"/>
    </row>
    <row r="25" ht="17.5" customHeight="1" spans="1:4" x14ac:dyDescent="0.25">
      <c r="A25" s="24" t="s">
        <v>88</v>
      </c>
      <c r="B25" s="24"/>
      <c r="C25" s="24"/>
      <c r="D25" s="24"/>
    </row>
    <row r="26" ht="32" customHeight="1" spans="1:4" x14ac:dyDescent="0.25">
      <c r="A26" s="22" t="s">
        <v>89</v>
      </c>
      <c r="B26" s="22"/>
      <c r="C26" s="22"/>
      <c r="D26" s="22"/>
    </row>
    <row r="28" ht="22" customHeight="1" spans="1:4" x14ac:dyDescent="0.25">
      <c r="A28" s="23" t="s">
        <v>90</v>
      </c>
      <c r="B28" s="23"/>
      <c r="C28" s="23"/>
      <c r="D28" s="23"/>
    </row>
    <row r="29" ht="46.5" customHeight="1" spans="1:4" x14ac:dyDescent="0.25">
      <c r="A29" s="22" t="s">
        <v>91</v>
      </c>
      <c r="B29" s="22"/>
      <c r="C29" s="22"/>
      <c r="D29" s="22"/>
    </row>
    <row r="31" ht="22" customHeight="1" spans="1:4" x14ac:dyDescent="0.25">
      <c r="A31" s="23" t="s">
        <v>92</v>
      </c>
      <c r="B31" s="23"/>
      <c r="C31" s="23"/>
      <c r="D31" s="23"/>
    </row>
    <row r="32" ht="17.5" customHeight="1" spans="1:4" x14ac:dyDescent="0.25">
      <c r="A32" s="25" t="s">
        <v>93</v>
      </c>
      <c r="B32" s="25"/>
      <c r="C32" s="25"/>
      <c r="D32" s="25"/>
    </row>
    <row r="33" ht="17.5" customHeight="1" spans="1:4" x14ac:dyDescent="0.25">
      <c r="A33" s="25" t="s">
        <v>94</v>
      </c>
      <c r="B33" s="25"/>
      <c r="C33" s="25"/>
      <c r="D33" s="25"/>
    </row>
    <row r="34" ht="17.5" customHeight="1" spans="1:4" x14ac:dyDescent="0.25">
      <c r="A34" s="25" t="s">
        <v>95</v>
      </c>
      <c r="B34" s="25"/>
      <c r="C34" s="25"/>
      <c r="D34" s="25"/>
    </row>
    <row r="35" ht="17.5" customHeight="1" spans="1:4" x14ac:dyDescent="0.25">
      <c r="A35" s="25" t="s">
        <v>96</v>
      </c>
      <c r="B35" s="25"/>
      <c r="C35" s="25"/>
      <c r="D35" s="25"/>
    </row>
    <row r="37" ht="22" customHeight="1" spans="1:4" x14ac:dyDescent="0.25">
      <c r="A37" s="23" t="s">
        <v>97</v>
      </c>
      <c r="B37" s="23"/>
      <c r="C37" s="23"/>
      <c r="D37" s="23"/>
    </row>
    <row r="38" ht="46.5" customHeight="1" spans="1:4" x14ac:dyDescent="0.25">
      <c r="A38" s="22" t="s">
        <v>98</v>
      </c>
      <c r="B38" s="22"/>
      <c r="C38" s="22"/>
      <c r="D38" s="22"/>
    </row>
    <row r="39" ht="17.5" customHeight="1" spans="1:4" x14ac:dyDescent="0.25">
      <c r="A39" s="22" t="s">
        <v>99</v>
      </c>
      <c r="B39" s="22"/>
      <c r="C39" s="22"/>
      <c r="D39" s="22"/>
    </row>
    <row r="41" ht="22" customHeight="1" spans="1:4" x14ac:dyDescent="0.25">
      <c r="A41" s="23" t="s">
        <v>100</v>
      </c>
      <c r="B41" s="23"/>
      <c r="C41" s="23"/>
      <c r="D41" s="23"/>
    </row>
    <row r="42" ht="16" customHeight="1" spans="1:4" x14ac:dyDescent="0.25">
      <c r="A42" s="26" t="s">
        <v>101</v>
      </c>
      <c r="B42" s="26" t="s">
        <v>102</v>
      </c>
      <c r="C42" s="26" t="s">
        <v>103</v>
      </c>
      <c r="D42" s="26" t="s">
        <v>104</v>
      </c>
    </row>
    <row r="43" ht="28" customHeight="1" spans="1:4" x14ac:dyDescent="0.25">
      <c r="A43" s="27" t="s">
        <v>35</v>
      </c>
      <c r="B43" s="27" t="s">
        <v>105</v>
      </c>
      <c r="C43" s="28" t="s">
        <v>106</v>
      </c>
      <c r="D43" s="27" t="s">
        <v>107</v>
      </c>
    </row>
    <row r="44" ht="28" customHeight="1" spans="1:4" x14ac:dyDescent="0.25">
      <c r="A44" s="27" t="s">
        <v>37</v>
      </c>
      <c r="B44" s="27" t="s">
        <v>108</v>
      </c>
      <c r="C44" s="28" t="s">
        <v>109</v>
      </c>
      <c r="D44" s="27" t="s">
        <v>110</v>
      </c>
    </row>
    <row r="45" ht="28" customHeight="1" spans="1:4" x14ac:dyDescent="0.25">
      <c r="A45" s="27" t="s">
        <v>39</v>
      </c>
      <c r="B45" s="27" t="s">
        <v>111</v>
      </c>
      <c r="C45" s="28" t="s">
        <v>112</v>
      </c>
      <c r="D45" s="27" t="s">
        <v>113</v>
      </c>
    </row>
    <row r="46" ht="28" customHeight="1" spans="1:4" x14ac:dyDescent="0.25">
      <c r="A46" s="27" t="s">
        <v>40</v>
      </c>
      <c r="B46" s="27" t="s">
        <v>114</v>
      </c>
      <c r="C46" s="28" t="s">
        <v>115</v>
      </c>
      <c r="D46" s="27" t="s">
        <v>116</v>
      </c>
    </row>
    <row r="47" ht="28" customHeight="1" spans="1:4" x14ac:dyDescent="0.25">
      <c r="A47" s="27" t="s">
        <v>41</v>
      </c>
      <c r="B47" s="27" t="s">
        <v>117</v>
      </c>
      <c r="C47" s="28" t="s">
        <v>118</v>
      </c>
      <c r="D47" s="27" t="s">
        <v>119</v>
      </c>
    </row>
    <row r="48" ht="28" customHeight="1" spans="1:4" x14ac:dyDescent="0.25">
      <c r="A48" s="27" t="s">
        <v>42</v>
      </c>
      <c r="B48" s="27" t="s">
        <v>120</v>
      </c>
      <c r="C48" s="28" t="s">
        <v>121</v>
      </c>
      <c r="D48" s="27" t="s">
        <v>122</v>
      </c>
    </row>
    <row r="49" ht="28" customHeight="1" spans="1:4" x14ac:dyDescent="0.25">
      <c r="A49" s="27" t="s">
        <v>43</v>
      </c>
      <c r="B49" s="27" t="s">
        <v>123</v>
      </c>
      <c r="C49" s="28" t="s">
        <v>124</v>
      </c>
      <c r="D49" s="27" t="s">
        <v>125</v>
      </c>
    </row>
    <row r="50" ht="28" customHeight="1" spans="1:4" x14ac:dyDescent="0.25">
      <c r="A50" s="27" t="s">
        <v>45</v>
      </c>
      <c r="B50" s="27" t="s">
        <v>126</v>
      </c>
      <c r="C50" s="28" t="s">
        <v>127</v>
      </c>
      <c r="D50" s="27" t="s">
        <v>128</v>
      </c>
    </row>
    <row r="51" ht="28" customHeight="1" spans="1:4" x14ac:dyDescent="0.25">
      <c r="A51" s="27" t="s">
        <v>46</v>
      </c>
      <c r="B51" s="27" t="s">
        <v>129</v>
      </c>
      <c r="C51" s="28" t="s">
        <v>130</v>
      </c>
      <c r="D51" s="27" t="s">
        <v>131</v>
      </c>
    </row>
    <row r="52" ht="53" customHeight="1" spans="1:4" x14ac:dyDescent="0.25">
      <c r="A52" s="27" t="s">
        <v>132</v>
      </c>
      <c r="B52" s="27" t="s">
        <v>133</v>
      </c>
      <c r="C52" s="28" t="s">
        <v>134</v>
      </c>
      <c r="D52" s="27" t="s">
        <v>135</v>
      </c>
    </row>
    <row r="53" ht="53" customHeight="1" spans="1:4" x14ac:dyDescent="0.25">
      <c r="A53" s="27" t="s">
        <v>136</v>
      </c>
      <c r="B53" s="27" t="s">
        <v>137</v>
      </c>
      <c r="C53" s="28" t="s">
        <v>138</v>
      </c>
      <c r="D53" s="27" t="s">
        <v>139</v>
      </c>
    </row>
    <row r="54" ht="78" customHeight="1" spans="1:4" x14ac:dyDescent="0.25">
      <c r="A54" s="27" t="s">
        <v>140</v>
      </c>
      <c r="B54" s="27" t="s">
        <v>141</v>
      </c>
      <c r="C54" s="28" t="s">
        <v>142</v>
      </c>
      <c r="D54" s="27" t="s">
        <v>143</v>
      </c>
    </row>
  </sheetData>
  <mergeCells count="33">
    <mergeCell ref="A1:D1"/>
    <mergeCell ref="A3:D3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5:D15"/>
    <mergeCell ref="A16:D16"/>
    <mergeCell ref="A17:D17"/>
    <mergeCell ref="A18:D18"/>
    <mergeCell ref="A19:D19"/>
    <mergeCell ref="A20:D20"/>
    <mergeCell ref="A21:D21"/>
    <mergeCell ref="A23:D23"/>
    <mergeCell ref="A24:D24"/>
    <mergeCell ref="A25:D25"/>
    <mergeCell ref="A26:D26"/>
    <mergeCell ref="A28:D28"/>
    <mergeCell ref="A29:D29"/>
    <mergeCell ref="A31:D31"/>
    <mergeCell ref="A32:D32"/>
    <mergeCell ref="A33:D33"/>
    <mergeCell ref="A34:D34"/>
    <mergeCell ref="A35:D35"/>
    <mergeCell ref="A37:D37"/>
    <mergeCell ref="A38:D38"/>
    <mergeCell ref="A39:D39"/>
    <mergeCell ref="A41:D41"/>
  </mergeCells>
  <pageMargins left="0.5" right="0.5" top="0.6" bottom="0.7" header="0.3" footer="0.3"/>
  <pageSetup paperSize="9" orientation="portrait" fitToWidth="1" fitToHeight="0"/>
  <headerFooter>
    <oddFooter>&amp;L&amp;8Skerry.eu — metodika&amp;R&amp;8Puslapis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Skaičiuoklė</vt:lpstr>
      <vt:lpstr>Metodika</vt:lpstr>
    </vt:vector>
  </TitlesOfParts>
  <Company>Skerry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Skerry</dc:creator>
  <dc:title>Chloro poreikis pagal lankytojų apkrovą</dc:title>
  <dc:subject>Skaičiuoklė su formulėmis: dienos aktyvaus chloro poreikis ir kalibravimas pagal savo sunaudojimą</dc:subject>
  <dc:description>Orientacinė planavimo skaičiuoklė. Ta pati metodika kaip https://skerry.eu/skaiciuokles/chloro-poreikis. Papildymo minimumas – HN 109:2016 taisyklių rinkinys LT-HN109-2016 v3.</dc:description>
  <cp:keywords>baseinas; chloras; poreikis; lankytojai; skaičiuoklė</cp:keywords>
  <cp:category>Baseinų vandens atitiktis</cp:category>
  <cp:lastModifiedBy>Skerry</cp:lastModifiedBy>
  <dcterms:created xsi:type="dcterms:W3CDTF">2026-10-29T10:11:04Z</dcterms:created>
  <dcterms:modified xsi:type="dcterms:W3CDTF">2026-10-29T10:11:04Z</dcterms:modified>
</cp:coreProperties>
</file>